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3100" activeTab="2"/>
  </bookViews>
  <sheets>
    <sheet name="Feuil1" sheetId="1" state="hidden" r:id="rId1"/>
    <sheet name="Feuil2" sheetId="2" state="hidden" r:id="rId2"/>
    <sheet name="Simulation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<sst xmlns="http://schemas.openxmlformats.org/spreadsheetml/2006/main" count="38" uniqueCount="24">
  <si>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Avant 82</t>
  </si>
  <si>
    <t>Après 82</t>
  </si>
  <si>
    <t>Après 2000</t>
  </si>
  <si>
    <t>Perte 2022</t>
  </si>
  <si>
    <t>Année</t>
  </si>
  <si>
    <t>A</t>
  </si>
  <si>
    <t>Rente</t>
  </si>
  <si>
    <t>+</t>
  </si>
  <si>
    <t>B</t>
  </si>
  <si>
    <t>C</t>
  </si>
  <si>
    <t>A+B+C</t>
  </si>
  <si>
    <t>Avant le 1er juillet 82</t>
  </si>
  <si>
    <t>1er juillet au 31 décembre 1999</t>
  </si>
  <si>
    <t>1er janv 2000</t>
  </si>
  <si>
    <t>Perte annuelle</t>
  </si>
  <si>
    <t>Perte accumulée</t>
  </si>
  <si>
    <t>Rente A</t>
  </si>
  <si>
    <t>Rente B</t>
  </si>
  <si>
    <t>Rente C</t>
  </si>
  <si>
    <t>D</t>
  </si>
  <si>
    <t>E</t>
  </si>
  <si>
    <t>F</t>
  </si>
  <si>
    <t>D+E+F</t>
  </si>
  <si>
    <t>Votre situation personnelle : perte annuelle et perte accumulée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</si>
</sst>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2">
    <xf numFmtId="0" fontId="0" fillId="0" borderId="0" xfId="0" applyFont="1" applyAlignment="1">
      <alignment/>
    </xf>
    <xf numFmtId="44" fontId="0" fillId="0" borderId="0" xfId="46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44" fontId="40" fillId="0" borderId="0" xfId="46" applyFont="1" applyAlignment="1">
      <alignment/>
    </xf>
    <xf numFmtId="44" fontId="40" fillId="0" borderId="0" xfId="0" applyNumberFormat="1" applyFont="1" applyAlignment="1">
      <alignment/>
    </xf>
    <xf numFmtId="44" fontId="41" fillId="0" borderId="0" xfId="0" applyNumberFormat="1" applyFont="1" applyAlignment="1">
      <alignment/>
    </xf>
    <xf numFmtId="44" fontId="40" fillId="0" borderId="0" xfId="46" applyFont="1" applyAlignment="1">
      <alignment horizontal="center"/>
    </xf>
    <xf numFmtId="44" fontId="40" fillId="0" borderId="0" xfId="0" applyNumberFormat="1" applyFont="1" applyAlignment="1">
      <alignment horizontal="center"/>
    </xf>
    <xf numFmtId="0" fontId="40" fillId="33" borderId="0" xfId="0" applyFont="1" applyFill="1" applyAlignment="1">
      <alignment horizontal="center"/>
    </xf>
    <xf numFmtId="44" fontId="40" fillId="33" borderId="0" xfId="46" applyFont="1" applyFill="1" applyAlignment="1">
      <alignment horizontal="center"/>
    </xf>
    <xf numFmtId="44" fontId="40" fillId="33" borderId="0" xfId="0" applyNumberFormat="1" applyFont="1" applyFill="1" applyAlignment="1">
      <alignment/>
    </xf>
    <xf numFmtId="44" fontId="0" fillId="33" borderId="0" xfId="0" applyNumberFormat="1" applyFill="1" applyAlignment="1">
      <alignment/>
    </xf>
    <xf numFmtId="0" fontId="40" fillId="5" borderId="0" xfId="0" applyFont="1" applyFill="1" applyAlignment="1">
      <alignment/>
    </xf>
    <xf numFmtId="44" fontId="40" fillId="5" borderId="0" xfId="0" applyNumberFormat="1" applyFont="1" applyFill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4" fontId="40" fillId="0" borderId="0" xfId="0" applyNumberFormat="1" applyFont="1" applyAlignment="1">
      <alignment horizontal="center" vertical="center"/>
    </xf>
    <xf numFmtId="44" fontId="40" fillId="0" borderId="0" xfId="46" applyFont="1" applyAlignment="1" applyProtection="1">
      <alignment horizontal="center"/>
      <protection locked="0"/>
    </xf>
    <xf numFmtId="44" fontId="40" fillId="0" borderId="0" xfId="46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4" fontId="40" fillId="33" borderId="0" xfId="46" applyFont="1" applyFill="1" applyAlignment="1" applyProtection="1">
      <alignment horizontal="center"/>
      <protection/>
    </xf>
    <xf numFmtId="44" fontId="40" fillId="33" borderId="0" xfId="46" applyFont="1" applyFill="1" applyAlignment="1" applyProtection="1">
      <alignment/>
      <protection/>
    </xf>
    <xf numFmtId="0" fontId="43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="130" zoomScaleNormal="130" zoomScalePageLayoutView="0" workbookViewId="0" topLeftCell="A1">
      <selection activeCell="I7" sqref="I7"/>
    </sheetView>
  </sheetViews>
  <sheetFormatPr defaultColWidth="11.00390625" defaultRowHeight="15.75"/>
  <cols>
    <col min="2" max="2" width="12.375" style="0" bestFit="1" customWidth="1"/>
    <col min="4" max="4" width="12.375" style="0" bestFit="1" customWidth="1"/>
    <col min="8" max="8" width="12.375" style="0" bestFit="1" customWidth="1"/>
    <col min="10" max="10" width="11.375" style="0" bestFit="1" customWidth="1"/>
  </cols>
  <sheetData>
    <row r="1" spans="1:10" ht="15.75">
      <c r="A1" t="s">
        <v>0</v>
      </c>
      <c r="B1" s="1">
        <v>19521.96</v>
      </c>
      <c r="C1">
        <v>0.0974</v>
      </c>
      <c r="D1" s="2">
        <f>B1*C1</f>
        <v>1901.4389039999999</v>
      </c>
      <c r="G1" s="3">
        <v>2033</v>
      </c>
      <c r="H1" s="1">
        <v>19521.96</v>
      </c>
      <c r="I1">
        <v>0.2868</v>
      </c>
      <c r="J1" s="2">
        <f>H1*I1</f>
        <v>5598.898128</v>
      </c>
    </row>
    <row r="2" spans="1:10" ht="15.75">
      <c r="A2" t="s">
        <v>1</v>
      </c>
      <c r="B2" s="1">
        <v>17492.4</v>
      </c>
      <c r="C2">
        <v>0</v>
      </c>
      <c r="D2" s="2">
        <f>B2*C2</f>
        <v>0</v>
      </c>
      <c r="H2" s="1">
        <v>17492.4</v>
      </c>
      <c r="I2">
        <v>0.01</v>
      </c>
      <c r="J2" s="2">
        <f>H2*I2</f>
        <v>174.924</v>
      </c>
    </row>
    <row r="3" spans="1:10" ht="15.75">
      <c r="A3" t="s">
        <v>2</v>
      </c>
      <c r="B3" s="1">
        <v>8550.84</v>
      </c>
      <c r="C3">
        <v>0.048</v>
      </c>
      <c r="D3" s="2">
        <f>B3*C3</f>
        <v>410.44032000000004</v>
      </c>
      <c r="H3" s="1">
        <v>8550.84</v>
      </c>
      <c r="I3">
        <v>0.0763</v>
      </c>
      <c r="J3" s="2">
        <f>H3*I3</f>
        <v>652.4290920000001</v>
      </c>
    </row>
    <row r="4" spans="1:10" ht="15.75">
      <c r="A4" t="s">
        <v>3</v>
      </c>
      <c r="B4" s="1"/>
      <c r="D4" s="2">
        <f>SUM(D1:D3)</f>
        <v>2311.879224</v>
      </c>
      <c r="J4" s="2">
        <f>SUM(J1:J3)</f>
        <v>6426.25122</v>
      </c>
    </row>
    <row r="5" spans="2:4" ht="15.75">
      <c r="B5" s="1"/>
      <c r="D5" s="2"/>
    </row>
    <row r="6" spans="1:4" ht="15.75">
      <c r="A6">
        <v>2033</v>
      </c>
      <c r="B6" s="1">
        <v>19521.96</v>
      </c>
      <c r="C6">
        <v>0.2868</v>
      </c>
      <c r="D6" s="2">
        <f>B6*C6</f>
        <v>5598.898128</v>
      </c>
    </row>
    <row r="7" spans="2:4" ht="15.75">
      <c r="B7" s="1">
        <v>17492.4</v>
      </c>
      <c r="C7">
        <v>0.01</v>
      </c>
      <c r="D7" s="2">
        <f>B7*C7</f>
        <v>174.924</v>
      </c>
    </row>
    <row r="8" spans="2:4" ht="15.75">
      <c r="B8" s="1">
        <v>8550.84</v>
      </c>
      <c r="C8">
        <v>0.0763</v>
      </c>
      <c r="D8" s="2">
        <f>B8*C8</f>
        <v>652.4290920000001</v>
      </c>
    </row>
    <row r="9" ht="15.75">
      <c r="D9" s="2">
        <f>SUM(D6:D8)</f>
        <v>6426.25122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="120" zoomScaleNormal="120" zoomScalePageLayoutView="0" workbookViewId="0" topLeftCell="A1">
      <selection activeCell="B10" sqref="A1:K20"/>
    </sheetView>
  </sheetViews>
  <sheetFormatPr defaultColWidth="11.00390625" defaultRowHeight="15.75"/>
  <cols>
    <col min="1" max="1" width="11.00390625" style="0" bestFit="1" customWidth="1"/>
    <col min="2" max="2" width="14.875" style="0" bestFit="1" customWidth="1"/>
    <col min="3" max="3" width="11.625" style="0" bestFit="1" customWidth="1"/>
    <col min="4" max="4" width="2.125" style="0" bestFit="1" customWidth="1"/>
    <col min="5" max="5" width="14.875" style="0" bestFit="1" customWidth="1"/>
    <col min="6" max="6" width="11.00390625" style="0" bestFit="1" customWidth="1"/>
    <col min="7" max="7" width="2.125" style="0" bestFit="1" customWidth="1"/>
    <col min="8" max="8" width="14.875" style="0" bestFit="1" customWidth="1"/>
    <col min="9" max="9" width="13.50390625" style="0" bestFit="1" customWidth="1"/>
    <col min="10" max="10" width="16.375" style="0" bestFit="1" customWidth="1"/>
  </cols>
  <sheetData>
    <row r="1" spans="1:11" ht="34.5" customHeight="1">
      <c r="A1" s="4"/>
      <c r="B1" s="26" t="s">
        <v>11</v>
      </c>
      <c r="C1" s="26"/>
      <c r="D1" s="5"/>
      <c r="E1" s="27" t="s">
        <v>12</v>
      </c>
      <c r="F1" s="27"/>
      <c r="G1" s="5"/>
      <c r="H1" s="27" t="s">
        <v>13</v>
      </c>
      <c r="I1" s="27"/>
      <c r="J1" s="28" t="s">
        <v>14</v>
      </c>
      <c r="K1" s="28"/>
    </row>
    <row r="2" spans="1:11" ht="18.75">
      <c r="A2" s="4" t="s">
        <v>4</v>
      </c>
      <c r="B2" s="6" t="s">
        <v>6</v>
      </c>
      <c r="C2" s="6" t="s">
        <v>5</v>
      </c>
      <c r="D2" s="6"/>
      <c r="E2" s="6" t="s">
        <v>6</v>
      </c>
      <c r="F2" s="6" t="s">
        <v>8</v>
      </c>
      <c r="G2" s="6"/>
      <c r="H2" s="6" t="s">
        <v>6</v>
      </c>
      <c r="I2" s="6" t="s">
        <v>9</v>
      </c>
      <c r="J2" s="6" t="s">
        <v>10</v>
      </c>
      <c r="K2" s="4"/>
    </row>
    <row r="3" spans="1:11" ht="18.75">
      <c r="A3" s="4">
        <v>2017</v>
      </c>
      <c r="B3" s="10">
        <v>0</v>
      </c>
      <c r="C3" s="10">
        <v>0</v>
      </c>
      <c r="D3" s="6"/>
      <c r="E3" s="7">
        <v>13084</v>
      </c>
      <c r="F3" s="10">
        <v>0</v>
      </c>
      <c r="G3" s="6"/>
      <c r="H3" s="7">
        <v>26486</v>
      </c>
      <c r="I3" s="10">
        <v>0</v>
      </c>
      <c r="J3" s="10">
        <v>0</v>
      </c>
      <c r="K3" s="4"/>
    </row>
    <row r="4" spans="1:11" ht="18.75">
      <c r="A4" s="4">
        <v>2018</v>
      </c>
      <c r="B4" s="10">
        <v>0</v>
      </c>
      <c r="C4" s="10">
        <v>0</v>
      </c>
      <c r="D4" s="6"/>
      <c r="E4" s="7">
        <v>13084</v>
      </c>
      <c r="F4" s="10">
        <v>0</v>
      </c>
      <c r="G4" s="6"/>
      <c r="H4" s="7">
        <v>26486</v>
      </c>
      <c r="I4" s="10">
        <f>H4*0.0075</f>
        <v>198.64499999999998</v>
      </c>
      <c r="J4" s="8">
        <f>C4+F4+I4</f>
        <v>198.64499999999998</v>
      </c>
      <c r="K4" s="4"/>
    </row>
    <row r="5" spans="1:11" ht="18.75">
      <c r="A5" s="4">
        <v>2019</v>
      </c>
      <c r="B5" s="10">
        <v>0</v>
      </c>
      <c r="C5" s="10">
        <v>0</v>
      </c>
      <c r="D5" s="6"/>
      <c r="E5" s="7">
        <v>13084</v>
      </c>
      <c r="F5" s="10">
        <v>0</v>
      </c>
      <c r="G5" s="6"/>
      <c r="H5" s="7">
        <v>26486</v>
      </c>
      <c r="I5" s="11">
        <f>H5*0.0192</f>
        <v>508.53119999999996</v>
      </c>
      <c r="J5" s="8">
        <f>C5+F5+I5</f>
        <v>508.53119999999996</v>
      </c>
      <c r="K5" s="4"/>
    </row>
    <row r="6" spans="1:11" ht="18.75">
      <c r="A6" s="4">
        <v>2020</v>
      </c>
      <c r="B6" s="10">
        <v>0</v>
      </c>
      <c r="C6" s="10">
        <v>0</v>
      </c>
      <c r="D6" s="6"/>
      <c r="E6" s="7">
        <v>13084</v>
      </c>
      <c r="F6" s="10">
        <v>0</v>
      </c>
      <c r="G6" s="6"/>
      <c r="H6" s="7">
        <v>26486</v>
      </c>
      <c r="I6" s="11">
        <f>H6*0.0289</f>
        <v>765.4454</v>
      </c>
      <c r="J6" s="8">
        <f>C6+F6+I6</f>
        <v>765.4454</v>
      </c>
      <c r="K6" s="4"/>
    </row>
    <row r="7" spans="1:11" ht="18.75">
      <c r="A7" s="4">
        <v>2021</v>
      </c>
      <c r="B7" s="7">
        <v>0</v>
      </c>
      <c r="C7" s="7">
        <f>B7*0.0686</f>
        <v>0</v>
      </c>
      <c r="D7" s="4" t="s">
        <v>7</v>
      </c>
      <c r="E7" s="7">
        <v>13084</v>
      </c>
      <c r="F7" s="8">
        <f>E7*0</f>
        <v>0</v>
      </c>
      <c r="G7" s="4" t="s">
        <v>7</v>
      </c>
      <c r="H7" s="7">
        <v>26486</v>
      </c>
      <c r="I7" s="11">
        <f>H7*0.0341</f>
        <v>903.1726</v>
      </c>
      <c r="J7" s="8">
        <f>C7+F7+I7</f>
        <v>903.1726</v>
      </c>
      <c r="K7" s="4"/>
    </row>
    <row r="8" spans="1:11" ht="18.75">
      <c r="A8" s="4">
        <v>2022</v>
      </c>
      <c r="B8" s="7">
        <v>0</v>
      </c>
      <c r="C8" s="7">
        <f>0*0.0974</f>
        <v>0</v>
      </c>
      <c r="D8" s="4" t="s">
        <v>7</v>
      </c>
      <c r="E8" s="7">
        <v>13084</v>
      </c>
      <c r="F8" s="8">
        <f>E8*0</f>
        <v>0</v>
      </c>
      <c r="G8" s="4" t="s">
        <v>7</v>
      </c>
      <c r="H8" s="7">
        <v>26486</v>
      </c>
      <c r="I8" s="2">
        <f>H8*0.048</f>
        <v>1271.328</v>
      </c>
      <c r="J8" s="8">
        <f>C8+F8+I8</f>
        <v>1271.328</v>
      </c>
      <c r="K8" s="4"/>
    </row>
    <row r="9" spans="1:10" ht="18.75">
      <c r="A9" s="4">
        <v>2023</v>
      </c>
      <c r="B9" s="7">
        <v>0</v>
      </c>
      <c r="C9" s="7">
        <f>0*0.1413</f>
        <v>0</v>
      </c>
      <c r="E9" s="7">
        <v>13084</v>
      </c>
      <c r="F9" s="2">
        <f>E9*0.01</f>
        <v>130.84</v>
      </c>
      <c r="H9" s="7">
        <v>26486</v>
      </c>
      <c r="I9" s="2">
        <f>H9*0.0689</f>
        <v>1824.8854000000001</v>
      </c>
      <c r="J9" s="8">
        <f aca="true" t="shared" si="0" ref="J9:J19">C9+F9+I9</f>
        <v>1955.7254</v>
      </c>
    </row>
    <row r="10" spans="1:10" ht="18.75">
      <c r="A10" s="4">
        <v>2024</v>
      </c>
      <c r="B10" s="7">
        <v>0</v>
      </c>
      <c r="C10" s="7">
        <f>0*0.1542</f>
        <v>0</v>
      </c>
      <c r="E10" s="7">
        <v>13084</v>
      </c>
      <c r="F10" s="2">
        <f>E10*0.01</f>
        <v>130.84</v>
      </c>
      <c r="H10" s="7">
        <v>26486</v>
      </c>
      <c r="I10" s="2">
        <f>H10*0.0697</f>
        <v>1846.0742</v>
      </c>
      <c r="J10" s="8">
        <f t="shared" si="0"/>
        <v>1976.9142</v>
      </c>
    </row>
    <row r="11" spans="1:10" ht="18.75">
      <c r="A11" s="4">
        <v>2025</v>
      </c>
      <c r="B11" s="7">
        <v>0</v>
      </c>
      <c r="C11" s="7">
        <f>B11*0.167</f>
        <v>0</v>
      </c>
      <c r="E11" s="7">
        <v>13084</v>
      </c>
      <c r="F11" s="2">
        <f aca="true" t="shared" si="1" ref="F11:F19">E11*0.01</f>
        <v>130.84</v>
      </c>
      <c r="H11" s="7">
        <v>26486</v>
      </c>
      <c r="I11" s="2">
        <f>H11*0.0704</f>
        <v>1864.6144000000002</v>
      </c>
      <c r="J11" s="8">
        <f t="shared" si="0"/>
        <v>1995.4544</v>
      </c>
    </row>
    <row r="12" spans="1:10" ht="18.75">
      <c r="A12" s="4">
        <v>2026</v>
      </c>
      <c r="B12" s="7">
        <v>0</v>
      </c>
      <c r="C12" s="7">
        <f>0*0.1809</f>
        <v>0</v>
      </c>
      <c r="E12" s="7">
        <v>13084</v>
      </c>
      <c r="F12" s="2">
        <f t="shared" si="1"/>
        <v>130.84</v>
      </c>
      <c r="H12" s="7">
        <v>26486</v>
      </c>
      <c r="I12" s="2">
        <f>H13*0.0711</f>
        <v>1883.1545999999998</v>
      </c>
      <c r="J12" s="8">
        <f t="shared" si="0"/>
        <v>2013.9945999999998</v>
      </c>
    </row>
    <row r="13" spans="1:10" ht="18.75">
      <c r="A13" s="4">
        <v>2027</v>
      </c>
      <c r="B13" s="7">
        <v>0</v>
      </c>
      <c r="C13" s="7">
        <f>0*2091</f>
        <v>0</v>
      </c>
      <c r="E13" s="7">
        <v>13084</v>
      </c>
      <c r="F13" s="2">
        <f t="shared" si="1"/>
        <v>130.84</v>
      </c>
      <c r="H13" s="7">
        <v>26486</v>
      </c>
      <c r="I13" s="2">
        <f>H13*0.0718</f>
        <v>1901.6948</v>
      </c>
      <c r="J13" s="8">
        <f t="shared" si="0"/>
        <v>2032.5348</v>
      </c>
    </row>
    <row r="14" spans="1:10" ht="18.75">
      <c r="A14" s="4">
        <v>2028</v>
      </c>
      <c r="B14" s="7">
        <v>0</v>
      </c>
      <c r="C14" s="7">
        <f>0*2238</f>
        <v>0</v>
      </c>
      <c r="E14" s="7">
        <v>13084</v>
      </c>
      <c r="F14" s="2">
        <f t="shared" si="1"/>
        <v>130.84</v>
      </c>
      <c r="H14" s="7">
        <v>26486</v>
      </c>
      <c r="I14" s="2">
        <f>H14*0.07189</f>
        <v>1904.07854</v>
      </c>
      <c r="J14" s="8">
        <f t="shared" si="0"/>
        <v>2034.91854</v>
      </c>
    </row>
    <row r="15" spans="1:10" ht="18.75">
      <c r="A15" s="4">
        <v>2029</v>
      </c>
      <c r="B15" s="7">
        <v>0</v>
      </c>
      <c r="C15" s="7">
        <f>0*0.2238</f>
        <v>0</v>
      </c>
      <c r="E15" s="7">
        <v>13084</v>
      </c>
      <c r="F15" s="2">
        <f t="shared" si="1"/>
        <v>130.84</v>
      </c>
      <c r="H15" s="7">
        <v>26486</v>
      </c>
      <c r="I15" s="2">
        <f>H15*0.0725</f>
        <v>1920.235</v>
      </c>
      <c r="J15" s="8">
        <f t="shared" si="0"/>
        <v>2051.075</v>
      </c>
    </row>
    <row r="16" spans="1:10" ht="18.75">
      <c r="A16" s="4">
        <v>2030</v>
      </c>
      <c r="B16" s="7">
        <v>0</v>
      </c>
      <c r="C16" s="7">
        <f>0*2389</f>
        <v>0</v>
      </c>
      <c r="E16" s="7">
        <v>13084</v>
      </c>
      <c r="F16" s="2">
        <f t="shared" si="1"/>
        <v>130.84</v>
      </c>
      <c r="H16" s="7">
        <v>26486</v>
      </c>
      <c r="I16" s="2">
        <f>H16*0.0733</f>
        <v>1941.4238</v>
      </c>
      <c r="J16" s="8">
        <f t="shared" si="0"/>
        <v>2072.2638</v>
      </c>
    </row>
    <row r="17" spans="1:10" ht="18.75">
      <c r="A17" s="4">
        <v>2031</v>
      </c>
      <c r="B17" s="7">
        <v>0</v>
      </c>
      <c r="C17" s="7">
        <f>0*2544</f>
        <v>0</v>
      </c>
      <c r="E17" s="7">
        <v>13084</v>
      </c>
      <c r="F17" s="2">
        <f t="shared" si="1"/>
        <v>130.84</v>
      </c>
      <c r="H17" s="7">
        <v>26486</v>
      </c>
      <c r="I17" s="2">
        <f>H17*0.0747</f>
        <v>1978.5042</v>
      </c>
      <c r="J17" s="8">
        <f t="shared" si="0"/>
        <v>2109.3442</v>
      </c>
    </row>
    <row r="18" spans="1:10" ht="18.75">
      <c r="A18" s="4">
        <v>2032</v>
      </c>
      <c r="B18" s="7">
        <v>0</v>
      </c>
      <c r="C18" s="7">
        <f>0*0.2704</f>
        <v>0</v>
      </c>
      <c r="E18" s="7">
        <v>13084</v>
      </c>
      <c r="F18" s="2">
        <f t="shared" si="1"/>
        <v>130.84</v>
      </c>
      <c r="H18" s="7">
        <v>26486</v>
      </c>
      <c r="I18" s="2">
        <f>H18*0.0754</f>
        <v>1997.0443999999998</v>
      </c>
      <c r="J18" s="8">
        <f t="shared" si="0"/>
        <v>2127.8844</v>
      </c>
    </row>
    <row r="19" spans="1:10" ht="18.75">
      <c r="A19" s="4">
        <v>2033</v>
      </c>
      <c r="B19" s="7">
        <v>0</v>
      </c>
      <c r="C19" s="7">
        <f>B19*0.2868</f>
        <v>0</v>
      </c>
      <c r="E19" s="7">
        <v>13084</v>
      </c>
      <c r="F19" s="2">
        <f t="shared" si="1"/>
        <v>130.84</v>
      </c>
      <c r="H19" s="7">
        <v>26486</v>
      </c>
      <c r="I19" s="2">
        <f>H19*0.0763</f>
        <v>2020.8818</v>
      </c>
      <c r="J19" s="8">
        <f t="shared" si="0"/>
        <v>2151.7218000000003</v>
      </c>
    </row>
    <row r="20" ht="21">
      <c r="J20" s="9">
        <f>SUM(J4:J19)</f>
        <v>26168.95334</v>
      </c>
    </row>
  </sheetData>
  <sheetProtection/>
  <mergeCells count="4">
    <mergeCell ref="B1:C1"/>
    <mergeCell ref="E1:F1"/>
    <mergeCell ref="H1:I1"/>
    <mergeCell ref="J1:K1"/>
  </mergeCells>
  <printOptions/>
  <pageMargins left="0.7086614173228347" right="0.7086614173228347" top="0.7480314960629921" bottom="0.7480314960629921" header="0.31496062992125984" footer="0.31496062992125984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140" zoomScaleNormal="140" zoomScalePageLayoutView="0" workbookViewId="0" topLeftCell="A1">
      <selection activeCell="H4" sqref="H4"/>
    </sheetView>
  </sheetViews>
  <sheetFormatPr defaultColWidth="11.00390625" defaultRowHeight="15.75"/>
  <cols>
    <col min="1" max="1" width="7.50390625" style="0" bestFit="1" customWidth="1"/>
    <col min="2" max="2" width="14.875" style="0" bestFit="1" customWidth="1"/>
    <col min="3" max="3" width="13.50390625" style="0" bestFit="1" customWidth="1"/>
    <col min="4" max="4" width="2.375" style="0" bestFit="1" customWidth="1"/>
    <col min="5" max="5" width="14.875" style="0" bestFit="1" customWidth="1"/>
    <col min="6" max="6" width="9.875" style="0" bestFit="1" customWidth="1"/>
    <col min="7" max="7" width="2.375" style="0" bestFit="1" customWidth="1"/>
    <col min="8" max="8" width="14.875" style="0" bestFit="1" customWidth="1"/>
    <col min="9" max="9" width="11.625" style="0" bestFit="1" customWidth="1"/>
    <col min="10" max="10" width="15.125" style="0" customWidth="1"/>
    <col min="11" max="11" width="5.00390625" style="0" hidden="1" customWidth="1"/>
    <col min="12" max="12" width="5.00390625" style="0" customWidth="1"/>
    <col min="13" max="13" width="14.875" style="0" bestFit="1" customWidth="1"/>
    <col min="14" max="14" width="0.5" style="0" customWidth="1"/>
  </cols>
  <sheetData>
    <row r="1" spans="1:13" ht="24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4" ht="39.75" customHeight="1">
      <c r="A2" s="4"/>
      <c r="B2" s="29" t="s">
        <v>11</v>
      </c>
      <c r="C2" s="29"/>
      <c r="D2" s="19"/>
      <c r="E2" s="30" t="s">
        <v>12</v>
      </c>
      <c r="F2" s="30"/>
      <c r="G2" s="19"/>
      <c r="H2" s="30" t="s">
        <v>13</v>
      </c>
      <c r="I2" s="30"/>
      <c r="J2" s="30" t="s">
        <v>14</v>
      </c>
      <c r="K2" s="30"/>
      <c r="L2" s="18"/>
      <c r="M2" s="30" t="s">
        <v>15</v>
      </c>
      <c r="N2" s="30"/>
    </row>
    <row r="3" spans="1:13" ht="18.75">
      <c r="A3" s="4" t="s">
        <v>4</v>
      </c>
      <c r="B3" s="6" t="s">
        <v>16</v>
      </c>
      <c r="C3" s="12" t="s">
        <v>19</v>
      </c>
      <c r="D3" s="6"/>
      <c r="E3" s="6" t="s">
        <v>17</v>
      </c>
      <c r="F3" s="12" t="s">
        <v>20</v>
      </c>
      <c r="G3" s="6"/>
      <c r="H3" s="6" t="s">
        <v>18</v>
      </c>
      <c r="I3" s="12" t="s">
        <v>21</v>
      </c>
      <c r="J3" s="6" t="s">
        <v>22</v>
      </c>
      <c r="K3" s="6"/>
      <c r="L3" s="6"/>
      <c r="M3" s="16"/>
    </row>
    <row r="4" spans="1:13" ht="18.75">
      <c r="A4" s="4">
        <v>2018</v>
      </c>
      <c r="B4" s="21"/>
      <c r="C4" s="24">
        <f>B4*0.015</f>
        <v>0</v>
      </c>
      <c r="D4" s="6"/>
      <c r="E4" s="22"/>
      <c r="F4" s="13">
        <v>0</v>
      </c>
      <c r="G4" s="6"/>
      <c r="H4" s="22"/>
      <c r="I4" s="15">
        <f>H4*0.0075</f>
        <v>0</v>
      </c>
      <c r="J4" s="20">
        <f aca="true" t="shared" si="0" ref="J4:J19">C4+F4+I4</f>
        <v>0</v>
      </c>
      <c r="K4" s="20"/>
      <c r="L4" s="20"/>
      <c r="M4" s="17">
        <f>J4</f>
        <v>0</v>
      </c>
    </row>
    <row r="5" spans="1:13" ht="18.75">
      <c r="A5" s="4">
        <v>2019</v>
      </c>
      <c r="B5" s="21">
        <f>B4</f>
        <v>0</v>
      </c>
      <c r="C5" s="24">
        <f>B5*0.0383</f>
        <v>0</v>
      </c>
      <c r="D5" s="6"/>
      <c r="E5" s="22">
        <f>E4</f>
        <v>0</v>
      </c>
      <c r="F5" s="13">
        <v>0</v>
      </c>
      <c r="G5" s="6"/>
      <c r="H5" s="22">
        <f>H4</f>
        <v>0</v>
      </c>
      <c r="I5" s="15">
        <f>H5*0.0192</f>
        <v>0</v>
      </c>
      <c r="J5" s="20">
        <f t="shared" si="0"/>
        <v>0</v>
      </c>
      <c r="K5" s="20"/>
      <c r="L5" s="20"/>
      <c r="M5" s="17">
        <f>J4+J5</f>
        <v>0</v>
      </c>
    </row>
    <row r="6" spans="1:13" ht="18.75">
      <c r="A6" s="4">
        <v>2020</v>
      </c>
      <c r="B6" s="21">
        <f aca="true" t="shared" si="1" ref="B6:B19">B5</f>
        <v>0</v>
      </c>
      <c r="C6" s="24">
        <f>B6*0.058</f>
        <v>0</v>
      </c>
      <c r="D6" s="6"/>
      <c r="E6" s="22">
        <f>E5</f>
        <v>0</v>
      </c>
      <c r="F6" s="13">
        <v>0</v>
      </c>
      <c r="G6" s="6"/>
      <c r="H6" s="22">
        <f aca="true" t="shared" si="2" ref="H6:H19">H5</f>
        <v>0</v>
      </c>
      <c r="I6" s="15">
        <f>H6*0.0289</f>
        <v>0</v>
      </c>
      <c r="J6" s="20">
        <f t="shared" si="0"/>
        <v>0</v>
      </c>
      <c r="K6" s="20"/>
      <c r="L6" s="20"/>
      <c r="M6" s="17">
        <f>M5+J6</f>
        <v>0</v>
      </c>
    </row>
    <row r="7" spans="1:13" ht="18.75">
      <c r="A7" s="4">
        <v>2021</v>
      </c>
      <c r="B7" s="21">
        <f t="shared" si="1"/>
        <v>0</v>
      </c>
      <c r="C7" s="25">
        <f>B7*0.0686</f>
        <v>0</v>
      </c>
      <c r="D7" s="4" t="s">
        <v>7</v>
      </c>
      <c r="E7" s="22">
        <f aca="true" t="shared" si="3" ref="E7:E18">E6</f>
        <v>0</v>
      </c>
      <c r="F7" s="14">
        <f>E7*0</f>
        <v>0</v>
      </c>
      <c r="G7" s="4" t="s">
        <v>7</v>
      </c>
      <c r="H7" s="22">
        <f t="shared" si="2"/>
        <v>0</v>
      </c>
      <c r="I7" s="15">
        <f>H7*0.0341</f>
        <v>0</v>
      </c>
      <c r="J7" s="20">
        <f t="shared" si="0"/>
        <v>0</v>
      </c>
      <c r="K7" s="20"/>
      <c r="L7" s="20"/>
      <c r="M7" s="17">
        <f>M6+J7</f>
        <v>0</v>
      </c>
    </row>
    <row r="8" spans="1:13" ht="18.75">
      <c r="A8" s="4">
        <v>2022</v>
      </c>
      <c r="B8" s="21">
        <f t="shared" si="1"/>
        <v>0</v>
      </c>
      <c r="C8" s="25">
        <f>B8*0.0974</f>
        <v>0</v>
      </c>
      <c r="D8" s="4" t="s">
        <v>7</v>
      </c>
      <c r="E8" s="22">
        <f t="shared" si="3"/>
        <v>0</v>
      </c>
      <c r="F8" s="14">
        <f>E8*0</f>
        <v>0</v>
      </c>
      <c r="G8" s="4" t="s">
        <v>7</v>
      </c>
      <c r="H8" s="22">
        <f t="shared" si="2"/>
        <v>0</v>
      </c>
      <c r="I8" s="15">
        <f>H8*0.048</f>
        <v>0</v>
      </c>
      <c r="J8" s="20">
        <f t="shared" si="0"/>
        <v>0</v>
      </c>
      <c r="K8" s="20"/>
      <c r="L8" s="20"/>
      <c r="M8" s="17">
        <f>M7+J8</f>
        <v>0</v>
      </c>
    </row>
    <row r="9" spans="1:13" ht="18.75">
      <c r="A9" s="4">
        <v>2023</v>
      </c>
      <c r="B9" s="21">
        <f t="shared" si="1"/>
        <v>0</v>
      </c>
      <c r="C9" s="25">
        <f>B9*0.1688</f>
        <v>0</v>
      </c>
      <c r="E9" s="22">
        <f t="shared" si="3"/>
        <v>0</v>
      </c>
      <c r="F9" s="15">
        <f>E9*0.035</f>
        <v>0</v>
      </c>
      <c r="H9" s="22">
        <f t="shared" si="2"/>
        <v>0</v>
      </c>
      <c r="I9" s="15">
        <f>H9*0.0847</f>
        <v>0</v>
      </c>
      <c r="J9" s="20">
        <f t="shared" si="0"/>
        <v>0</v>
      </c>
      <c r="K9" s="20"/>
      <c r="L9" s="20"/>
      <c r="M9" s="17">
        <f>M8+J9</f>
        <v>0</v>
      </c>
    </row>
    <row r="10" spans="1:13" ht="18.75">
      <c r="A10" s="4">
        <v>2024</v>
      </c>
      <c r="B10" s="21">
        <f t="shared" si="1"/>
        <v>0</v>
      </c>
      <c r="C10" s="25">
        <f>B10*0.1982</f>
        <v>0</v>
      </c>
      <c r="E10" s="22">
        <f t="shared" si="3"/>
        <v>0</v>
      </c>
      <c r="F10" s="15">
        <f>E10*0.0355</f>
        <v>0</v>
      </c>
      <c r="H10" s="22">
        <f t="shared" si="2"/>
        <v>0</v>
      </c>
      <c r="I10" s="15">
        <f>H10*0.0867</f>
        <v>0</v>
      </c>
      <c r="J10" s="20">
        <f t="shared" si="0"/>
        <v>0</v>
      </c>
      <c r="K10" s="20"/>
      <c r="L10" s="20"/>
      <c r="M10" s="17">
        <f aca="true" t="shared" si="4" ref="M10:M19">M9+J10</f>
        <v>0</v>
      </c>
    </row>
    <row r="11" spans="1:13" ht="18.75">
      <c r="A11" s="4">
        <v>2025</v>
      </c>
      <c r="B11" s="21">
        <f t="shared" si="1"/>
        <v>0</v>
      </c>
      <c r="C11" s="25">
        <f>B11*0.223</f>
        <v>0</v>
      </c>
      <c r="E11" s="22">
        <f t="shared" si="3"/>
        <v>0</v>
      </c>
      <c r="F11" s="15">
        <f aca="true" t="shared" si="5" ref="F11:F19">E11*0.0357</f>
        <v>0</v>
      </c>
      <c r="H11" s="22">
        <f t="shared" si="2"/>
        <v>0</v>
      </c>
      <c r="I11" s="15">
        <f>H11*0.088</f>
        <v>0</v>
      </c>
      <c r="J11" s="20">
        <f t="shared" si="0"/>
        <v>0</v>
      </c>
      <c r="K11" s="20"/>
      <c r="L11" s="20"/>
      <c r="M11" s="17">
        <f t="shared" si="4"/>
        <v>0</v>
      </c>
    </row>
    <row r="12" spans="1:13" ht="18.75">
      <c r="A12" s="4">
        <v>2026</v>
      </c>
      <c r="B12" s="21">
        <f t="shared" si="1"/>
        <v>0</v>
      </c>
      <c r="C12" s="25">
        <f>B12*0.2379</f>
        <v>0</v>
      </c>
      <c r="E12" s="22">
        <f t="shared" si="3"/>
        <v>0</v>
      </c>
      <c r="F12" s="15">
        <f t="shared" si="5"/>
        <v>0</v>
      </c>
      <c r="H12" s="22">
        <f t="shared" si="2"/>
        <v>0</v>
      </c>
      <c r="I12" s="15">
        <f>H13*0.089</f>
        <v>0</v>
      </c>
      <c r="J12" s="20">
        <f t="shared" si="0"/>
        <v>0</v>
      </c>
      <c r="K12" s="20"/>
      <c r="L12" s="20"/>
      <c r="M12" s="17">
        <f t="shared" si="4"/>
        <v>0</v>
      </c>
    </row>
    <row r="13" spans="1:13" ht="18.75">
      <c r="A13" s="4">
        <v>2027</v>
      </c>
      <c r="B13" s="21">
        <f t="shared" si="1"/>
        <v>0</v>
      </c>
      <c r="C13" s="25">
        <f>B13*0.2531</f>
        <v>0</v>
      </c>
      <c r="E13" s="22">
        <f t="shared" si="3"/>
        <v>0</v>
      </c>
      <c r="F13" s="15">
        <f t="shared" si="5"/>
        <v>0</v>
      </c>
      <c r="H13" s="22">
        <f t="shared" si="2"/>
        <v>0</v>
      </c>
      <c r="I13" s="15">
        <f>H13*0.0898</f>
        <v>0</v>
      </c>
      <c r="J13" s="20">
        <f t="shared" si="0"/>
        <v>0</v>
      </c>
      <c r="K13" s="20"/>
      <c r="L13" s="20"/>
      <c r="M13" s="17">
        <f t="shared" si="4"/>
        <v>0</v>
      </c>
    </row>
    <row r="14" spans="1:13" ht="18.75">
      <c r="A14" s="4">
        <v>2028</v>
      </c>
      <c r="B14" s="21">
        <f t="shared" si="1"/>
        <v>0</v>
      </c>
      <c r="C14" s="25">
        <f>B14*0.2687</f>
        <v>0</v>
      </c>
      <c r="E14" s="22">
        <f t="shared" si="3"/>
        <v>0</v>
      </c>
      <c r="F14" s="15">
        <f t="shared" si="5"/>
        <v>0</v>
      </c>
      <c r="H14" s="22">
        <f t="shared" si="2"/>
        <v>0</v>
      </c>
      <c r="I14" s="15">
        <f>H14*0.0908</f>
        <v>0</v>
      </c>
      <c r="J14" s="20">
        <f t="shared" si="0"/>
        <v>0</v>
      </c>
      <c r="K14" s="20"/>
      <c r="L14" s="20"/>
      <c r="M14" s="17">
        <f t="shared" si="4"/>
        <v>0</v>
      </c>
    </row>
    <row r="15" spans="1:13" ht="18.75">
      <c r="A15" s="4">
        <v>2029</v>
      </c>
      <c r="B15" s="21">
        <f t="shared" si="1"/>
        <v>0</v>
      </c>
      <c r="C15" s="25">
        <f>B15*0.2849</f>
        <v>0</v>
      </c>
      <c r="E15" s="22">
        <f t="shared" si="3"/>
        <v>0</v>
      </c>
      <c r="F15" s="15">
        <f t="shared" si="5"/>
        <v>0</v>
      </c>
      <c r="H15" s="22">
        <f t="shared" si="2"/>
        <v>0</v>
      </c>
      <c r="I15" s="15">
        <f>H15*0.0916</f>
        <v>0</v>
      </c>
      <c r="J15" s="20">
        <f t="shared" si="0"/>
        <v>0</v>
      </c>
      <c r="K15" s="20"/>
      <c r="L15" s="20"/>
      <c r="M15" s="17">
        <f t="shared" si="4"/>
        <v>0</v>
      </c>
    </row>
    <row r="16" spans="1:13" ht="18.75">
      <c r="A16" s="4">
        <v>2030</v>
      </c>
      <c r="B16" s="21">
        <f t="shared" si="1"/>
        <v>0</v>
      </c>
      <c r="C16" s="25">
        <f>B16*0.3014</f>
        <v>0</v>
      </c>
      <c r="E16" s="22">
        <f t="shared" si="3"/>
        <v>0</v>
      </c>
      <c r="F16" s="15">
        <f t="shared" si="5"/>
        <v>0</v>
      </c>
      <c r="H16" s="22">
        <f t="shared" si="2"/>
        <v>0</v>
      </c>
      <c r="I16" s="15">
        <f>H16*0.0926</f>
        <v>0</v>
      </c>
      <c r="J16" s="20">
        <f t="shared" si="0"/>
        <v>0</v>
      </c>
      <c r="K16" s="20"/>
      <c r="L16" s="20"/>
      <c r="M16" s="17">
        <f t="shared" si="4"/>
        <v>0</v>
      </c>
    </row>
    <row r="17" spans="1:13" ht="18.75">
      <c r="A17" s="4">
        <v>2031</v>
      </c>
      <c r="B17" s="21">
        <f t="shared" si="1"/>
        <v>0</v>
      </c>
      <c r="C17" s="25">
        <f>B17*0.3184</f>
        <v>0</v>
      </c>
      <c r="E17" s="22">
        <f t="shared" si="3"/>
        <v>0</v>
      </c>
      <c r="F17" s="15">
        <f t="shared" si="5"/>
        <v>0</v>
      </c>
      <c r="H17" s="22">
        <f t="shared" si="2"/>
        <v>0</v>
      </c>
      <c r="I17" s="15">
        <f>H17*0.0935</f>
        <v>0</v>
      </c>
      <c r="J17" s="20">
        <f t="shared" si="0"/>
        <v>0</v>
      </c>
      <c r="K17" s="20"/>
      <c r="L17" s="20"/>
      <c r="M17" s="17">
        <f t="shared" si="4"/>
        <v>0</v>
      </c>
    </row>
    <row r="18" spans="1:13" ht="18.75">
      <c r="A18" s="4">
        <v>2032</v>
      </c>
      <c r="B18" s="21">
        <f t="shared" si="1"/>
        <v>0</v>
      </c>
      <c r="C18" s="25">
        <f>B18*0.3357</f>
        <v>0</v>
      </c>
      <c r="E18" s="22">
        <f t="shared" si="3"/>
        <v>0</v>
      </c>
      <c r="F18" s="15">
        <f t="shared" si="5"/>
        <v>0</v>
      </c>
      <c r="H18" s="22">
        <f t="shared" si="2"/>
        <v>0</v>
      </c>
      <c r="I18" s="15">
        <f>H18*0.0944</f>
        <v>0</v>
      </c>
      <c r="J18" s="20">
        <f t="shared" si="0"/>
        <v>0</v>
      </c>
      <c r="K18" s="20"/>
      <c r="L18" s="20"/>
      <c r="M18" s="17">
        <f t="shared" si="4"/>
        <v>0</v>
      </c>
    </row>
    <row r="19" spans="1:13" ht="18.75">
      <c r="A19" s="4">
        <v>2033</v>
      </c>
      <c r="B19" s="21">
        <f t="shared" si="1"/>
        <v>0</v>
      </c>
      <c r="C19" s="25">
        <f>B19*0.3537</f>
        <v>0</v>
      </c>
      <c r="E19" s="22">
        <f>E18</f>
        <v>0</v>
      </c>
      <c r="F19" s="15">
        <f t="shared" si="5"/>
        <v>0</v>
      </c>
      <c r="H19" s="22">
        <f t="shared" si="2"/>
        <v>0</v>
      </c>
      <c r="I19" s="15">
        <f>H19*0.0953</f>
        <v>0</v>
      </c>
      <c r="J19" s="20">
        <f t="shared" si="0"/>
        <v>0</v>
      </c>
      <c r="K19" s="20"/>
      <c r="L19" s="20"/>
      <c r="M19" s="17">
        <f t="shared" si="4"/>
        <v>0</v>
      </c>
    </row>
    <row r="20" spans="5:12" ht="21">
      <c r="E20" s="23"/>
      <c r="J20" s="9"/>
      <c r="K20" s="9"/>
      <c r="L20" s="9"/>
    </row>
  </sheetData>
  <sheetProtection/>
  <mergeCells count="6">
    <mergeCell ref="B2:C2"/>
    <mergeCell ref="E2:F2"/>
    <mergeCell ref="H2:I2"/>
    <mergeCell ref="A1:M1"/>
    <mergeCell ref="J2:K2"/>
    <mergeCell ref="M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Jean-Louis René</dc:creator>
  <cp:keywords/>
  <dc:description/>
  <cp:lastModifiedBy>Jean-Louis René</cp:lastModifiedBy>
  <cp:lastPrinted>2023-01-19T15:39:05Z</cp:lastPrinted>
  <dcterms:created xsi:type="dcterms:W3CDTF">2022-01-06T15:16:42Z</dcterms:created>
  <dcterms:modified xsi:type="dcterms:W3CDTF">2024-01-11T14:37:23Z</dcterms:modified>
  <cp:category/>
  <cp:version/>
  <cp:contentType/>
  <cp:contentStatus/>
</cp:coreProperties>
</file>